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120" windowHeight="9060"/>
  </bookViews>
  <sheets>
    <sheet name="Références" sheetId="2" r:id="rId1"/>
  </sheets>
  <definedNames>
    <definedName name="_xlnm.Print_Area" localSheetId="0">Références!$A$2:$M$27</definedName>
  </definedNames>
  <calcPr calcId="145621"/>
</workbook>
</file>

<file path=xl/calcChain.xml><?xml version="1.0" encoding="utf-8"?>
<calcChain xmlns="http://schemas.openxmlformats.org/spreadsheetml/2006/main">
  <c r="P19" i="2" l="1"/>
  <c r="Q19" i="2"/>
  <c r="R19" i="2"/>
  <c r="O19" i="2"/>
  <c r="R12" i="2"/>
  <c r="R13" i="2" s="1"/>
  <c r="P27" i="2"/>
  <c r="Q27" i="2"/>
  <c r="R27" i="2"/>
  <c r="O13" i="2"/>
  <c r="O25" i="2" s="1"/>
  <c r="M27" i="2"/>
  <c r="L27" i="2"/>
  <c r="B25" i="2"/>
  <c r="B13" i="2"/>
  <c r="B26" i="2" s="1"/>
  <c r="B27" i="2" s="1"/>
  <c r="B23" i="2"/>
  <c r="C25" i="2"/>
  <c r="C26" i="2"/>
  <c r="C27" i="2" s="1"/>
  <c r="D13" i="2"/>
  <c r="D23" i="2" s="1"/>
  <c r="E27" i="2"/>
  <c r="F25" i="2"/>
  <c r="F13" i="2"/>
  <c r="F26" i="2" s="1"/>
  <c r="F14" i="2"/>
  <c r="F24" i="2"/>
  <c r="G27" i="2"/>
  <c r="G13" i="2"/>
  <c r="G14" i="2" s="1"/>
  <c r="G24" i="2" s="1"/>
  <c r="E13" i="2"/>
  <c r="E23" i="2"/>
  <c r="K27" i="2"/>
  <c r="J27" i="2"/>
  <c r="I27" i="2"/>
  <c r="I13" i="2"/>
  <c r="H27" i="2"/>
  <c r="H13" i="2"/>
  <c r="H14" i="2" s="1"/>
  <c r="H24" i="2" s="1"/>
  <c r="H23" i="2"/>
  <c r="L14" i="2"/>
  <c r="L24" i="2" s="1"/>
  <c r="K14" i="2"/>
  <c r="K24" i="2"/>
  <c r="J24" i="2"/>
  <c r="I24" i="2"/>
  <c r="E24" i="2"/>
  <c r="C24" i="2"/>
  <c r="B24" i="2"/>
  <c r="L23" i="2"/>
  <c r="K23" i="2"/>
  <c r="J23" i="2"/>
  <c r="C23" i="2"/>
  <c r="F20" i="2"/>
  <c r="F19" i="2" s="1"/>
  <c r="B20" i="2"/>
  <c r="B19" i="2" s="1"/>
  <c r="L19" i="2"/>
  <c r="K19" i="2"/>
  <c r="J19" i="2"/>
  <c r="H19" i="2"/>
  <c r="G19" i="2"/>
  <c r="E19" i="2"/>
  <c r="D19" i="2"/>
  <c r="C19" i="2"/>
  <c r="I18" i="2"/>
  <c r="I10" i="2"/>
  <c r="G23" i="2"/>
  <c r="O23" i="2"/>
  <c r="F23" i="2" l="1"/>
  <c r="I12" i="2"/>
  <c r="F27" i="2"/>
  <c r="R23" i="2"/>
  <c r="R14" i="2"/>
  <c r="R24" i="2" s="1"/>
  <c r="I23" i="2"/>
  <c r="D14" i="2"/>
  <c r="D24" i="2" s="1"/>
  <c r="O14" i="2"/>
  <c r="D26" i="2" l="1"/>
  <c r="D27" i="2" s="1"/>
  <c r="O26" i="2"/>
  <c r="O27" i="2" s="1"/>
  <c r="O24" i="2"/>
</calcChain>
</file>

<file path=xl/comments1.xml><?xml version="1.0" encoding="utf-8"?>
<comments xmlns="http://schemas.openxmlformats.org/spreadsheetml/2006/main">
  <authors>
    <author>rzerbini</author>
  </authors>
  <commentList>
    <comment ref="C19" authorId="0">
      <text>
        <r>
          <rPr>
            <b/>
            <sz val="8"/>
            <color indexed="81"/>
            <rFont val="Tahoma"/>
          </rPr>
          <t>rzerbini:</t>
        </r>
        <r>
          <rPr>
            <sz val="8"/>
            <color indexed="81"/>
            <rFont val="Tahoma"/>
          </rPr>
          <t xml:space="preserve">
Dimensionnement sur le froid</t>
        </r>
      </text>
    </comment>
  </commentList>
</comments>
</file>

<file path=xl/sharedStrings.xml><?xml version="1.0" encoding="utf-8"?>
<sst xmlns="http://schemas.openxmlformats.org/spreadsheetml/2006/main" count="129" uniqueCount="113">
  <si>
    <t>Type de Bâtiment</t>
  </si>
  <si>
    <t>Couverture DB</t>
  </si>
  <si>
    <t>Puissance PAC</t>
  </si>
  <si>
    <t>Type de collecteur</t>
  </si>
  <si>
    <t>Débit</t>
  </si>
  <si>
    <t>Surface échangeur</t>
  </si>
  <si>
    <t>Linéaire échangeur</t>
  </si>
  <si>
    <t xml:space="preserve">Economie émissions CO2 </t>
  </si>
  <si>
    <t>DONNEES GENERALES</t>
  </si>
  <si>
    <t>DONNEES THERMIQUES</t>
  </si>
  <si>
    <t>DONNEES RESEAU</t>
  </si>
  <si>
    <t>DONNEES ENVIRONNEMENTALES</t>
  </si>
  <si>
    <t>Lieu</t>
  </si>
  <si>
    <t>Levallois</t>
  </si>
  <si>
    <t>Bordeaux</t>
  </si>
  <si>
    <t>CU Bordeaux</t>
  </si>
  <si>
    <t>Valenciennes</t>
  </si>
  <si>
    <t>Batigère</t>
  </si>
  <si>
    <t>Ville de Nanterre</t>
  </si>
  <si>
    <t>Ville de Levallois</t>
  </si>
  <si>
    <t>Piscine</t>
  </si>
  <si>
    <t>Hotel Administratif</t>
  </si>
  <si>
    <t>Hotel de Ville</t>
  </si>
  <si>
    <t>Mulhouse</t>
  </si>
  <si>
    <t>Nanterre</t>
  </si>
  <si>
    <t>Dijon</t>
  </si>
  <si>
    <t>Utilisation PAC</t>
  </si>
  <si>
    <t>T180/110</t>
  </si>
  <si>
    <t>Froid : 816 MWh Chaud : 473 MWh</t>
  </si>
  <si>
    <t>2500 mm</t>
  </si>
  <si>
    <t>2000 mm</t>
  </si>
  <si>
    <t>Puissance récupérée</t>
  </si>
  <si>
    <t>T200/105</t>
  </si>
  <si>
    <t>Ratio au m²</t>
  </si>
  <si>
    <t>13 Habitat</t>
  </si>
  <si>
    <t>T175/90</t>
  </si>
  <si>
    <t>Marseille</t>
  </si>
  <si>
    <t>Paris</t>
  </si>
  <si>
    <t>T380/220 (avec bajoyers)</t>
  </si>
  <si>
    <t>Tep produites</t>
  </si>
  <si>
    <t>MWh couverts</t>
  </si>
  <si>
    <t>Tep ENR</t>
  </si>
  <si>
    <t>MWh ENR</t>
  </si>
  <si>
    <t>Maubeuge</t>
  </si>
  <si>
    <t>Chauffage locaux</t>
  </si>
  <si>
    <t>Froid : 612 MWh
Chaud : 355 MWh</t>
  </si>
  <si>
    <t>Besoins bâtiment</t>
  </si>
  <si>
    <t>Ville de Valenciennes</t>
  </si>
  <si>
    <t>Palais de l'Elysée</t>
  </si>
  <si>
    <t>Ville de Paris</t>
  </si>
  <si>
    <t>Groupe Scolaire Wattignies</t>
  </si>
  <si>
    <t>1780*1500 mm</t>
  </si>
  <si>
    <t>Présidence de la République Elysée</t>
  </si>
  <si>
    <t>Chauffage logements</t>
  </si>
  <si>
    <t>1200mm</t>
  </si>
  <si>
    <t>1400mm</t>
  </si>
  <si>
    <t>Anemasse</t>
  </si>
  <si>
    <t>Ville de Douai</t>
  </si>
  <si>
    <t>Norévie</t>
  </si>
  <si>
    <t>Douai</t>
  </si>
  <si>
    <t>Chauffage bassin</t>
  </si>
  <si>
    <t>1800mm</t>
  </si>
  <si>
    <t>Client</t>
  </si>
  <si>
    <t>Grand Dijon</t>
  </si>
  <si>
    <t>Bureaux</t>
  </si>
  <si>
    <t>Atelier</t>
  </si>
  <si>
    <t>Logement</t>
  </si>
  <si>
    <t>SIAHVY</t>
  </si>
  <si>
    <t>Villes de paris</t>
  </si>
  <si>
    <t>Aspirant Dunant</t>
  </si>
  <si>
    <t>Moulin du SIAHVY</t>
  </si>
  <si>
    <t>CITEAU</t>
  </si>
  <si>
    <t>STEU</t>
  </si>
  <si>
    <t xml:space="preserve">Surface </t>
  </si>
  <si>
    <t>Belleville sur Saone</t>
  </si>
  <si>
    <t>Maintien en température des bassins</t>
  </si>
  <si>
    <t>AMVS</t>
  </si>
  <si>
    <t>Centre aquatique de Levallois</t>
  </si>
  <si>
    <t>Annemasse agglo</t>
  </si>
  <si>
    <t>Centre aquatique d'Annemasse</t>
  </si>
  <si>
    <t>Résidence Les nouveaux Chartreux</t>
  </si>
  <si>
    <t>Caserne Lefebvre</t>
  </si>
  <si>
    <t>Pole Universitaire de Maubeuge</t>
  </si>
  <si>
    <t>Dépôt TRAM du Grand Dijon</t>
  </si>
  <si>
    <t>Eco-quartier Ste Geneviève</t>
  </si>
  <si>
    <t>Groupe scolaire</t>
  </si>
  <si>
    <t>Université</t>
  </si>
  <si>
    <t>Froid : 816 MWh
Chaud : 1100 MWh</t>
  </si>
  <si>
    <t>Année de réalisation</t>
  </si>
  <si>
    <t>Paris XII</t>
  </si>
  <si>
    <t>Froid : 100 %
Chaud : 43%</t>
  </si>
  <si>
    <t>Rafraichissement et chauffage des locaux</t>
  </si>
  <si>
    <t>Alimentation des planchers chauffant</t>
  </si>
  <si>
    <t>Chauffage des locaux</t>
  </si>
  <si>
    <t>Chauffage des logements et ECS via réseau de chaleur</t>
  </si>
  <si>
    <t>Chauffage des locaux et ECS</t>
  </si>
  <si>
    <t>Chauffage des logements</t>
  </si>
  <si>
    <t>Chauffage des logements et ECS</t>
  </si>
  <si>
    <t>Saulx les Chartreux</t>
  </si>
  <si>
    <t>DN1000</t>
  </si>
  <si>
    <t>DN12000</t>
  </si>
  <si>
    <t>2 x 630 kW (non fournies)</t>
  </si>
  <si>
    <t>Froid : 1400 kW
Chaud: 640 kW</t>
  </si>
  <si>
    <t>En travaux</t>
  </si>
  <si>
    <t>Logements</t>
  </si>
  <si>
    <t>Piscine des Glacis</t>
  </si>
  <si>
    <t>Résidance Gayant</t>
  </si>
  <si>
    <t>190 MWh chaud et 37 MWh froid</t>
  </si>
  <si>
    <t>130 kW chaud et 124kW</t>
  </si>
  <si>
    <t>Piscine Aspirant Dunand</t>
  </si>
  <si>
    <r>
      <t xml:space="preserve">Degrés Bleus Chaleur et Rafraichissement
</t>
    </r>
    <r>
      <rPr>
        <b/>
        <sz val="16"/>
        <color rgb="FF030F40"/>
        <rFont val="Arial"/>
        <family val="2"/>
      </rPr>
      <t>Références SUEZ - mai 2015</t>
    </r>
  </si>
  <si>
    <r>
      <t xml:space="preserve">Emissions CO2 </t>
    </r>
    <r>
      <rPr>
        <i/>
        <sz val="10"/>
        <color rgb="FF030F40"/>
        <rFont val="Arial"/>
        <family val="2"/>
      </rPr>
      <t>Avant</t>
    </r>
  </si>
  <si>
    <r>
      <t xml:space="preserve">Emissions CO2 </t>
    </r>
    <r>
      <rPr>
        <i/>
        <sz val="10"/>
        <color rgb="FF030F40"/>
        <rFont val="Arial"/>
        <family val="2"/>
      </rPr>
      <t>Après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</si>
</sst>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#,###&quot; MWh&quot;"/>
    <numFmt numFmtId="171" formatCode="#,###&quot; kW&quot;"/>
    <numFmt numFmtId="172" formatCode="#,###&quot; l/s&quot;"/>
    <numFmt numFmtId="175" formatCode="#,###&quot; m²&quot;"/>
    <numFmt numFmtId="176" formatCode="#,###&quot; ml&quot;"/>
    <numFmt numFmtId="180" formatCode="#,###&quot; tep&quot;"/>
    <numFmt numFmtId="184" formatCode="#,###.00&quot; kW/m²&quot;"/>
    <numFmt numFmtId="191" formatCode="#,##0&quot; m2&quot;"/>
    <numFmt numFmtId="192" formatCode="#,###&quot; Teq CO2 / an&quot;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17"/>
      <name val="Arial"/>
      <family val="2"/>
    </font>
    <font>
      <sz val="12"/>
      <color rgb="FF030F40"/>
      <name val="Arial"/>
      <family val="2"/>
    </font>
    <font>
      <b/>
      <sz val="16"/>
      <color rgb="FF030F40"/>
      <name val="Arial"/>
      <family val="2"/>
    </font>
    <font>
      <b/>
      <sz val="11"/>
      <color rgb="FF030F40"/>
      <name val="Arial"/>
      <family val="2"/>
    </font>
    <font>
      <sz val="10"/>
      <color rgb="FF030F40"/>
      <name val="Arial"/>
      <family val="2"/>
    </font>
    <font>
      <sz val="11"/>
      <color rgb="FF030F40"/>
      <name val="Arial"/>
      <family val="2"/>
    </font>
    <font>
      <i/>
      <sz val="10"/>
      <color rgb="FF030F4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/>
    <xf numFmtId="191" fontId="15" fillId="0" borderId="2" xfId="0" applyNumberFormat="1" applyFont="1" applyFill="1" applyBorder="1" applyAlignment="1">
      <alignment horizontal="left" vertical="center" wrapText="1"/>
    </xf>
    <xf numFmtId="191" fontId="16" fillId="0" borderId="0" xfId="0" applyNumberFormat="1" applyFont="1" applyFill="1" applyBorder="1" applyAlignment="1">
      <alignment horizontal="center" vertical="center" wrapText="1"/>
    </xf>
    <xf numFmtId="191" fontId="16" fillId="5" borderId="0" xfId="0" applyNumberFormat="1" applyFont="1" applyFill="1" applyBorder="1" applyAlignment="1">
      <alignment horizontal="center" vertical="center" wrapText="1"/>
    </xf>
    <xf numFmtId="191" fontId="15" fillId="0" borderId="0" xfId="0" applyNumberFormat="1" applyFont="1" applyFill="1" applyBorder="1"/>
    <xf numFmtId="191" fontId="15" fillId="0" borderId="0" xfId="0" applyNumberFormat="1" applyFont="1" applyFill="1"/>
    <xf numFmtId="0" fontId="15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70" fontId="16" fillId="0" borderId="0" xfId="0" applyNumberFormat="1" applyFont="1" applyFill="1" applyBorder="1" applyAlignment="1">
      <alignment horizontal="center" vertical="center" wrapText="1"/>
    </xf>
    <xf numFmtId="170" fontId="16" fillId="5" borderId="0" xfId="0" applyNumberFormat="1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171" fontId="16" fillId="5" borderId="0" xfId="0" applyNumberFormat="1" applyFont="1" applyFill="1" applyBorder="1" applyAlignment="1">
      <alignment horizontal="center" vertical="center" wrapText="1"/>
    </xf>
    <xf numFmtId="9" fontId="16" fillId="0" borderId="0" xfId="1" applyFont="1" applyFill="1" applyBorder="1" applyAlignment="1">
      <alignment horizontal="center" vertical="center" wrapText="1"/>
    </xf>
    <xf numFmtId="9" fontId="16" fillId="5" borderId="0" xfId="1" applyFont="1" applyFill="1" applyBorder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9" fontId="16" fillId="0" borderId="1" xfId="1" applyFont="1" applyFill="1" applyBorder="1" applyAlignment="1">
      <alignment horizontal="center" vertical="center" wrapText="1"/>
    </xf>
    <xf numFmtId="170" fontId="16" fillId="5" borderId="1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5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184" fontId="16" fillId="0" borderId="0" xfId="0" applyNumberFormat="1" applyFont="1" applyFill="1" applyBorder="1" applyAlignment="1">
      <alignment horizontal="center" vertical="center" wrapText="1"/>
    </xf>
    <xf numFmtId="184" fontId="16" fillId="5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horizontal="center" vertical="center" wrapText="1"/>
    </xf>
    <xf numFmtId="175" fontId="16" fillId="5" borderId="0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80" fontId="16" fillId="5" borderId="0" xfId="0" applyNumberFormat="1" applyFont="1" applyFill="1" applyBorder="1" applyAlignment="1">
      <alignment horizontal="center" vertical="center" wrapText="1"/>
    </xf>
    <xf numFmtId="192" fontId="16" fillId="0" borderId="0" xfId="0" applyNumberFormat="1" applyFont="1" applyFill="1" applyBorder="1" applyAlignment="1">
      <alignment horizontal="center" vertical="center" wrapText="1"/>
    </xf>
    <xf numFmtId="192" fontId="16" fillId="5" borderId="0" xfId="0" applyNumberFormat="1" applyFont="1" applyFill="1" applyBorder="1" applyAlignment="1">
      <alignment horizontal="center" vertical="center" wrapText="1"/>
    </xf>
    <xf numFmtId="192" fontId="16" fillId="0" borderId="1" xfId="0" applyNumberFormat="1" applyFont="1" applyFill="1" applyBorder="1" applyAlignment="1">
      <alignment horizontal="center" vertical="center" wrapText="1"/>
    </xf>
    <xf numFmtId="192" fontId="16" fillId="5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30F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63500</xdr:rowOff>
    </xdr:from>
    <xdr:to>
      <xdr:col>2</xdr:col>
      <xdr:colOff>1113158</xdr:colOff>
      <xdr:row>0</xdr:row>
      <xdr:rowOff>819500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63500"/>
          <a:ext cx="2383158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topLeftCell="J1" zoomScale="75" zoomScaleNormal="75" workbookViewId="0">
      <selection activeCell="R4" sqref="R4"/>
    </sheetView>
  </sheetViews>
  <sheetFormatPr baseColWidth="10" defaultColWidth="15.7109375" defaultRowHeight="12" customHeight="1" x14ac:dyDescent="0.2"/>
  <cols>
    <col min="1" max="1" width="44.5703125" style="3" bestFit="1" customWidth="1"/>
    <col min="2" max="12" width="25.7109375" style="2" customWidth="1"/>
    <col min="13" max="13" width="25.7109375" style="2" hidden="1" customWidth="1"/>
    <col min="14" max="14" width="9.5703125" style="2" customWidth="1"/>
    <col min="15" max="15" width="25.7109375" style="2" customWidth="1"/>
    <col min="16" max="16" width="25.140625" style="2" hidden="1" customWidth="1"/>
    <col min="17" max="17" width="21" style="2" hidden="1" customWidth="1"/>
    <col min="18" max="18" width="21.7109375" style="2" customWidth="1"/>
    <col min="19" max="16384" width="15.7109375" style="2"/>
  </cols>
  <sheetData>
    <row r="1" spans="1:20" ht="68.25" customHeight="1" x14ac:dyDescent="0.2">
      <c r="A1" s="15" t="s">
        <v>110</v>
      </c>
      <c r="B1" s="15"/>
    </row>
    <row r="2" spans="1:20" s="18" customFormat="1" ht="30" customHeight="1" x14ac:dyDescent="0.2">
      <c r="A2" s="16" t="s">
        <v>8</v>
      </c>
      <c r="B2" s="58" t="s">
        <v>77</v>
      </c>
      <c r="C2" s="58" t="s">
        <v>15</v>
      </c>
      <c r="D2" s="58" t="s">
        <v>47</v>
      </c>
      <c r="E2" s="58" t="s">
        <v>50</v>
      </c>
      <c r="F2" s="58" t="s">
        <v>84</v>
      </c>
      <c r="G2" s="58" t="s">
        <v>83</v>
      </c>
      <c r="H2" s="58" t="s">
        <v>82</v>
      </c>
      <c r="I2" s="58" t="s">
        <v>48</v>
      </c>
      <c r="J2" s="58" t="s">
        <v>81</v>
      </c>
      <c r="K2" s="58" t="s">
        <v>80</v>
      </c>
      <c r="L2" s="58" t="s">
        <v>79</v>
      </c>
      <c r="M2" s="58" t="s">
        <v>71</v>
      </c>
      <c r="N2" s="58" t="s">
        <v>103</v>
      </c>
      <c r="O2" s="58" t="s">
        <v>70</v>
      </c>
      <c r="P2" s="58" t="s">
        <v>105</v>
      </c>
      <c r="Q2" s="58" t="s">
        <v>106</v>
      </c>
      <c r="R2" s="58" t="s">
        <v>109</v>
      </c>
      <c r="S2" s="17"/>
      <c r="T2" s="17"/>
    </row>
    <row r="3" spans="1:20" s="22" customFormat="1" ht="30" customHeight="1" x14ac:dyDescent="0.2">
      <c r="A3" s="19" t="s">
        <v>88</v>
      </c>
      <c r="B3" s="20">
        <v>2009</v>
      </c>
      <c r="C3" s="20">
        <v>2010</v>
      </c>
      <c r="D3" s="20">
        <v>2010</v>
      </c>
      <c r="E3" s="20">
        <v>2010</v>
      </c>
      <c r="F3" s="20">
        <v>2010</v>
      </c>
      <c r="G3" s="20">
        <v>2010</v>
      </c>
      <c r="H3" s="20">
        <v>2011</v>
      </c>
      <c r="I3" s="20">
        <v>2011</v>
      </c>
      <c r="J3" s="20">
        <v>2012</v>
      </c>
      <c r="K3" s="20">
        <v>2012</v>
      </c>
      <c r="L3" s="20">
        <v>2013</v>
      </c>
      <c r="M3" s="20">
        <v>2014</v>
      </c>
      <c r="N3" s="21"/>
      <c r="O3" s="20">
        <v>2015</v>
      </c>
      <c r="P3" s="20">
        <v>2015</v>
      </c>
      <c r="Q3" s="20">
        <v>2015</v>
      </c>
      <c r="R3" s="20">
        <v>2015</v>
      </c>
      <c r="S3" s="20"/>
      <c r="T3" s="20"/>
    </row>
    <row r="4" spans="1:20" s="24" customFormat="1" ht="30" customHeight="1" x14ac:dyDescent="0.2">
      <c r="A4" s="19" t="s">
        <v>62</v>
      </c>
      <c r="B4" s="20" t="s">
        <v>19</v>
      </c>
      <c r="C4" s="20" t="s">
        <v>21</v>
      </c>
      <c r="D4" s="20" t="s">
        <v>22</v>
      </c>
      <c r="E4" s="20" t="s">
        <v>49</v>
      </c>
      <c r="F4" s="20" t="s">
        <v>18</v>
      </c>
      <c r="G4" s="20" t="s">
        <v>63</v>
      </c>
      <c r="H4" s="20" t="s">
        <v>76</v>
      </c>
      <c r="I4" s="20" t="s">
        <v>52</v>
      </c>
      <c r="J4" s="20" t="s">
        <v>17</v>
      </c>
      <c r="K4" s="20" t="s">
        <v>34</v>
      </c>
      <c r="L4" s="20" t="s">
        <v>78</v>
      </c>
      <c r="M4" s="20" t="s">
        <v>72</v>
      </c>
      <c r="N4" s="21"/>
      <c r="O4" s="20" t="s">
        <v>67</v>
      </c>
      <c r="P4" s="20" t="s">
        <v>57</v>
      </c>
      <c r="Q4" s="20" t="s">
        <v>58</v>
      </c>
      <c r="R4" s="20" t="s">
        <v>68</v>
      </c>
      <c r="S4" s="23"/>
      <c r="T4" s="23"/>
    </row>
    <row r="5" spans="1:20" s="24" customFormat="1" ht="30" customHeight="1" x14ac:dyDescent="0.2">
      <c r="A5" s="19" t="s">
        <v>0</v>
      </c>
      <c r="B5" s="20" t="s">
        <v>20</v>
      </c>
      <c r="C5" s="20" t="s">
        <v>21</v>
      </c>
      <c r="D5" s="20" t="s">
        <v>22</v>
      </c>
      <c r="E5" s="20" t="s">
        <v>85</v>
      </c>
      <c r="F5" s="20" t="s">
        <v>66</v>
      </c>
      <c r="G5" s="20" t="s">
        <v>65</v>
      </c>
      <c r="H5" s="20" t="s">
        <v>86</v>
      </c>
      <c r="I5" s="20" t="s">
        <v>64</v>
      </c>
      <c r="J5" s="20" t="s">
        <v>66</v>
      </c>
      <c r="K5" s="20" t="s">
        <v>66</v>
      </c>
      <c r="L5" s="20" t="s">
        <v>20</v>
      </c>
      <c r="M5" s="20" t="s">
        <v>66</v>
      </c>
      <c r="N5" s="21"/>
      <c r="O5" s="20" t="s">
        <v>64</v>
      </c>
      <c r="P5" s="20" t="s">
        <v>20</v>
      </c>
      <c r="Q5" s="20" t="s">
        <v>104</v>
      </c>
      <c r="R5" s="20" t="s">
        <v>20</v>
      </c>
      <c r="S5" s="23"/>
      <c r="T5" s="23"/>
    </row>
    <row r="6" spans="1:20" s="29" customFormat="1" ht="30" customHeight="1" x14ac:dyDescent="0.2">
      <c r="A6" s="25" t="s">
        <v>73</v>
      </c>
      <c r="B6" s="26"/>
      <c r="C6" s="26">
        <v>24000</v>
      </c>
      <c r="D6" s="26">
        <v>8500</v>
      </c>
      <c r="E6" s="26">
        <v>8000</v>
      </c>
      <c r="F6" s="26">
        <v>60000</v>
      </c>
      <c r="G6" s="26">
        <v>13500</v>
      </c>
      <c r="H6" s="26">
        <v>6146</v>
      </c>
      <c r="I6" s="26">
        <v>7000</v>
      </c>
      <c r="J6" s="26">
        <v>8000</v>
      </c>
      <c r="K6" s="26">
        <v>17000</v>
      </c>
      <c r="L6" s="26">
        <v>4600</v>
      </c>
      <c r="M6" s="26">
        <v>4865</v>
      </c>
      <c r="N6" s="27"/>
      <c r="O6" s="26">
        <v>1198</v>
      </c>
      <c r="P6" s="26">
        <v>0</v>
      </c>
      <c r="Q6" s="26">
        <v>0</v>
      </c>
      <c r="R6" s="26"/>
      <c r="S6" s="28"/>
      <c r="T6" s="28"/>
    </row>
    <row r="7" spans="1:20" s="24" customFormat="1" ht="30" customHeight="1" x14ac:dyDescent="0.2">
      <c r="A7" s="19" t="s">
        <v>12</v>
      </c>
      <c r="B7" s="20" t="s">
        <v>13</v>
      </c>
      <c r="C7" s="20" t="s">
        <v>14</v>
      </c>
      <c r="D7" s="20" t="s">
        <v>16</v>
      </c>
      <c r="E7" s="20" t="s">
        <v>89</v>
      </c>
      <c r="F7" s="20" t="s">
        <v>24</v>
      </c>
      <c r="G7" s="20" t="s">
        <v>25</v>
      </c>
      <c r="H7" s="20" t="s">
        <v>43</v>
      </c>
      <c r="I7" s="20" t="s">
        <v>37</v>
      </c>
      <c r="J7" s="20" t="s">
        <v>23</v>
      </c>
      <c r="K7" s="20" t="s">
        <v>36</v>
      </c>
      <c r="L7" s="20" t="s">
        <v>56</v>
      </c>
      <c r="M7" s="20" t="s">
        <v>74</v>
      </c>
      <c r="N7" s="21"/>
      <c r="O7" s="20" t="s">
        <v>98</v>
      </c>
      <c r="P7" s="20" t="s">
        <v>59</v>
      </c>
      <c r="Q7" s="20" t="s">
        <v>59</v>
      </c>
      <c r="R7" s="20" t="s">
        <v>69</v>
      </c>
      <c r="S7" s="23"/>
      <c r="T7" s="23"/>
    </row>
    <row r="8" spans="1:20" s="24" customFormat="1" ht="30" customHeight="1" x14ac:dyDescent="0.2">
      <c r="A8" s="30" t="s">
        <v>26</v>
      </c>
      <c r="B8" s="31" t="s">
        <v>75</v>
      </c>
      <c r="C8" s="31" t="s">
        <v>91</v>
      </c>
      <c r="D8" s="31" t="s">
        <v>92</v>
      </c>
      <c r="E8" s="31" t="s">
        <v>93</v>
      </c>
      <c r="F8" s="31" t="s">
        <v>94</v>
      </c>
      <c r="G8" s="31" t="s">
        <v>93</v>
      </c>
      <c r="H8" s="31" t="s">
        <v>44</v>
      </c>
      <c r="I8" s="31" t="s">
        <v>95</v>
      </c>
      <c r="J8" s="31" t="s">
        <v>96</v>
      </c>
      <c r="K8" s="31" t="s">
        <v>97</v>
      </c>
      <c r="L8" s="31" t="s">
        <v>75</v>
      </c>
      <c r="M8" s="31" t="s">
        <v>97</v>
      </c>
      <c r="N8" s="32"/>
      <c r="O8" s="31" t="s">
        <v>91</v>
      </c>
      <c r="P8" s="31" t="s">
        <v>60</v>
      </c>
      <c r="Q8" s="31" t="s">
        <v>53</v>
      </c>
      <c r="R8" s="31" t="s">
        <v>60</v>
      </c>
      <c r="S8" s="23"/>
      <c r="T8" s="23"/>
    </row>
    <row r="9" spans="1:20" ht="9.75" customHeight="1" x14ac:dyDescent="0.2">
      <c r="A9" s="10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"/>
      <c r="O9" s="6"/>
      <c r="P9" s="6"/>
      <c r="Q9" s="6"/>
      <c r="R9" s="6"/>
      <c r="S9" s="1"/>
      <c r="T9" s="1"/>
    </row>
    <row r="10" spans="1:20" s="24" customFormat="1" ht="30" customHeight="1" x14ac:dyDescent="0.2">
      <c r="A10" s="19" t="s">
        <v>46</v>
      </c>
      <c r="B10" s="33">
        <v>889</v>
      </c>
      <c r="C10" s="33" t="s">
        <v>87</v>
      </c>
      <c r="D10" s="33">
        <v>1300</v>
      </c>
      <c r="E10" s="33">
        <v>512</v>
      </c>
      <c r="F10" s="33">
        <v>4555</v>
      </c>
      <c r="G10" s="33">
        <v>1201</v>
      </c>
      <c r="H10" s="33">
        <v>458</v>
      </c>
      <c r="I10" s="33">
        <f>715+451</f>
        <v>1166</v>
      </c>
      <c r="J10" s="33">
        <v>1232</v>
      </c>
      <c r="K10" s="33">
        <v>2277</v>
      </c>
      <c r="L10" s="33">
        <v>3786</v>
      </c>
      <c r="M10" s="33">
        <v>381</v>
      </c>
      <c r="N10" s="34"/>
      <c r="O10" s="33" t="s">
        <v>107</v>
      </c>
      <c r="P10" s="33">
        <v>0</v>
      </c>
      <c r="Q10" s="33">
        <v>0</v>
      </c>
      <c r="R10" s="33">
        <v>1318</v>
      </c>
      <c r="S10" s="23"/>
      <c r="T10" s="23"/>
    </row>
    <row r="11" spans="1:20" s="24" customFormat="1" ht="30" customHeight="1" x14ac:dyDescent="0.2">
      <c r="A11" s="19" t="s">
        <v>2</v>
      </c>
      <c r="B11" s="35">
        <v>120</v>
      </c>
      <c r="C11" s="35" t="s">
        <v>101</v>
      </c>
      <c r="D11" s="35">
        <v>300</v>
      </c>
      <c r="E11" s="35">
        <v>90</v>
      </c>
      <c r="F11" s="35">
        <v>800</v>
      </c>
      <c r="G11" s="35">
        <v>360</v>
      </c>
      <c r="H11" s="35">
        <v>100</v>
      </c>
      <c r="I11" s="35">
        <v>120</v>
      </c>
      <c r="J11" s="35">
        <v>260</v>
      </c>
      <c r="K11" s="35">
        <v>500</v>
      </c>
      <c r="L11" s="35">
        <v>250</v>
      </c>
      <c r="M11" s="35">
        <v>80</v>
      </c>
      <c r="N11" s="36"/>
      <c r="O11" s="35" t="s">
        <v>108</v>
      </c>
      <c r="P11" s="35">
        <v>0</v>
      </c>
      <c r="Q11" s="35">
        <v>0</v>
      </c>
      <c r="R11" s="35">
        <v>80</v>
      </c>
      <c r="S11" s="23"/>
      <c r="T11" s="23"/>
    </row>
    <row r="12" spans="1:20" s="24" customFormat="1" ht="30" customHeight="1" x14ac:dyDescent="0.2">
      <c r="A12" s="19" t="s">
        <v>1</v>
      </c>
      <c r="B12" s="37">
        <v>0.9</v>
      </c>
      <c r="C12" s="37" t="s">
        <v>90</v>
      </c>
      <c r="D12" s="37">
        <v>0.76300000000000001</v>
      </c>
      <c r="E12" s="37">
        <v>0.73</v>
      </c>
      <c r="F12" s="37">
        <v>0.77258000000000004</v>
      </c>
      <c r="G12" s="37">
        <v>0.70899999999999996</v>
      </c>
      <c r="H12" s="37">
        <v>0.9</v>
      </c>
      <c r="I12" s="37">
        <f>+I13/I10</f>
        <v>0.70154373927958835</v>
      </c>
      <c r="J12" s="37">
        <v>0.7</v>
      </c>
      <c r="K12" s="37">
        <v>0.55000000000000004</v>
      </c>
      <c r="L12" s="37">
        <v>0.48</v>
      </c>
      <c r="M12" s="37">
        <v>0.69</v>
      </c>
      <c r="N12" s="38"/>
      <c r="O12" s="37">
        <v>1</v>
      </c>
      <c r="P12" s="37"/>
      <c r="Q12" s="37"/>
      <c r="R12" s="37">
        <f>(R10-856)/R10</f>
        <v>0.35053110773899848</v>
      </c>
      <c r="S12" s="23"/>
      <c r="T12" s="23"/>
    </row>
    <row r="13" spans="1:20" s="24" customFormat="1" ht="30" customHeight="1" x14ac:dyDescent="0.2">
      <c r="A13" s="19" t="s">
        <v>40</v>
      </c>
      <c r="B13" s="33">
        <f>B10*B12</f>
        <v>800.1</v>
      </c>
      <c r="C13" s="33" t="s">
        <v>28</v>
      </c>
      <c r="D13" s="33">
        <f>D10*D12</f>
        <v>991.9</v>
      </c>
      <c r="E13" s="33">
        <f>E10*E12</f>
        <v>373.76</v>
      </c>
      <c r="F13" s="33">
        <f>F10*F12</f>
        <v>3519.1019000000001</v>
      </c>
      <c r="G13" s="33">
        <f>G10*G12</f>
        <v>851.5089999999999</v>
      </c>
      <c r="H13" s="33">
        <f>H12*H10</f>
        <v>412.2</v>
      </c>
      <c r="I13" s="33">
        <f>379+439</f>
        <v>818</v>
      </c>
      <c r="J13" s="33">
        <v>912</v>
      </c>
      <c r="K13" s="33">
        <v>1524</v>
      </c>
      <c r="L13" s="33">
        <v>1820</v>
      </c>
      <c r="M13" s="33">
        <v>266</v>
      </c>
      <c r="N13" s="34"/>
      <c r="O13" s="33">
        <f>190+37</f>
        <v>227</v>
      </c>
      <c r="P13" s="33">
        <v>0</v>
      </c>
      <c r="Q13" s="33">
        <v>0</v>
      </c>
      <c r="R13" s="33">
        <f>R12*R10</f>
        <v>462</v>
      </c>
      <c r="S13" s="23"/>
      <c r="T13" s="23"/>
    </row>
    <row r="14" spans="1:20" s="24" customFormat="1" ht="30" customHeight="1" x14ac:dyDescent="0.2">
      <c r="A14" s="30" t="s">
        <v>42</v>
      </c>
      <c r="B14" s="39">
        <v>571</v>
      </c>
      <c r="C14" s="40" t="s">
        <v>45</v>
      </c>
      <c r="D14" s="39">
        <f>D13*(1-1/3.4)</f>
        <v>700.16470588235291</v>
      </c>
      <c r="E14" s="39">
        <v>253</v>
      </c>
      <c r="F14" s="39">
        <f>2523</f>
        <v>2523</v>
      </c>
      <c r="G14" s="39">
        <f>G13*(1-1/4)</f>
        <v>638.6317499999999</v>
      </c>
      <c r="H14" s="39">
        <f>H13*(1-1/4)</f>
        <v>309.14999999999998</v>
      </c>
      <c r="I14" s="39">
        <v>487</v>
      </c>
      <c r="J14" s="39">
        <v>652</v>
      </c>
      <c r="K14" s="39">
        <f>K13-380</f>
        <v>1144</v>
      </c>
      <c r="L14" s="39">
        <f>L13-380</f>
        <v>1440</v>
      </c>
      <c r="M14" s="39">
        <v>200</v>
      </c>
      <c r="N14" s="41"/>
      <c r="O14" s="39">
        <f>O13*3/4</f>
        <v>170.25</v>
      </c>
      <c r="P14" s="39">
        <v>0</v>
      </c>
      <c r="Q14" s="39">
        <v>0</v>
      </c>
      <c r="R14" s="39">
        <f>R13-166</f>
        <v>296</v>
      </c>
      <c r="S14" s="23"/>
      <c r="T14" s="23"/>
    </row>
    <row r="15" spans="1:20" ht="11.25" customHeight="1" x14ac:dyDescent="0.2">
      <c r="A15" s="9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2"/>
      <c r="P15" s="12"/>
      <c r="Q15" s="12"/>
      <c r="R15" s="12"/>
      <c r="S15" s="1"/>
      <c r="T15" s="1"/>
    </row>
    <row r="16" spans="1:20" s="24" customFormat="1" ht="30" customHeight="1" x14ac:dyDescent="0.2">
      <c r="A16" s="19" t="s">
        <v>4</v>
      </c>
      <c r="B16" s="42">
        <v>12</v>
      </c>
      <c r="C16" s="42">
        <v>140</v>
      </c>
      <c r="D16" s="42">
        <v>35</v>
      </c>
      <c r="E16" s="42">
        <v>400</v>
      </c>
      <c r="F16" s="42">
        <v>50</v>
      </c>
      <c r="G16" s="42">
        <v>30</v>
      </c>
      <c r="H16" s="42">
        <v>35</v>
      </c>
      <c r="I16" s="42">
        <v>150</v>
      </c>
      <c r="J16" s="42">
        <v>164</v>
      </c>
      <c r="K16" s="42">
        <v>50</v>
      </c>
      <c r="L16" s="42">
        <v>53</v>
      </c>
      <c r="M16" s="42"/>
      <c r="N16" s="43"/>
      <c r="O16" s="42">
        <v>245</v>
      </c>
      <c r="P16" s="42">
        <v>0</v>
      </c>
      <c r="Q16" s="42">
        <v>0</v>
      </c>
      <c r="R16" s="42">
        <v>60</v>
      </c>
      <c r="S16" s="23"/>
      <c r="T16" s="23"/>
    </row>
    <row r="17" spans="1:20" s="24" customFormat="1" ht="30" customHeight="1" x14ac:dyDescent="0.2">
      <c r="A17" s="19" t="s">
        <v>3</v>
      </c>
      <c r="B17" s="20" t="s">
        <v>27</v>
      </c>
      <c r="C17" s="20" t="s">
        <v>29</v>
      </c>
      <c r="D17" s="20" t="s">
        <v>30</v>
      </c>
      <c r="E17" s="20" t="s">
        <v>38</v>
      </c>
      <c r="F17" s="20" t="s">
        <v>32</v>
      </c>
      <c r="G17" s="20" t="s">
        <v>35</v>
      </c>
      <c r="H17" s="20" t="s">
        <v>100</v>
      </c>
      <c r="I17" s="20" t="s">
        <v>51</v>
      </c>
      <c r="J17" s="20" t="s">
        <v>54</v>
      </c>
      <c r="K17" s="20" t="s">
        <v>55</v>
      </c>
      <c r="L17" s="20" t="s">
        <v>61</v>
      </c>
      <c r="M17" s="20" t="s">
        <v>72</v>
      </c>
      <c r="N17" s="21"/>
      <c r="O17" s="20" t="s">
        <v>99</v>
      </c>
      <c r="P17" s="20"/>
      <c r="Q17" s="20"/>
      <c r="R17" s="20"/>
      <c r="S17" s="23"/>
      <c r="T17" s="23"/>
    </row>
    <row r="18" spans="1:20" s="45" customFormat="1" ht="30" customHeight="1" x14ac:dyDescent="0.2">
      <c r="A18" s="19" t="s">
        <v>31</v>
      </c>
      <c r="B18" s="35">
        <v>90</v>
      </c>
      <c r="C18" s="35" t="s">
        <v>102</v>
      </c>
      <c r="D18" s="35">
        <v>225</v>
      </c>
      <c r="E18" s="35">
        <v>59</v>
      </c>
      <c r="F18" s="35">
        <v>550</v>
      </c>
      <c r="G18" s="35">
        <v>270</v>
      </c>
      <c r="H18" s="35">
        <v>82</v>
      </c>
      <c r="I18" s="35">
        <f>+I19*I20</f>
        <v>157.79999999999998</v>
      </c>
      <c r="J18" s="35">
        <v>160</v>
      </c>
      <c r="K18" s="35">
        <v>375</v>
      </c>
      <c r="L18" s="35">
        <v>190</v>
      </c>
      <c r="M18" s="35">
        <v>60</v>
      </c>
      <c r="N18" s="36"/>
      <c r="O18" s="35">
        <v>95</v>
      </c>
      <c r="P18" s="35">
        <v>0</v>
      </c>
      <c r="Q18" s="35">
        <v>0</v>
      </c>
      <c r="R18" s="35">
        <v>62</v>
      </c>
      <c r="S18" s="44"/>
      <c r="T18" s="44"/>
    </row>
    <row r="19" spans="1:20" s="45" customFormat="1" ht="30" customHeight="1" x14ac:dyDescent="0.2">
      <c r="A19" s="19" t="s">
        <v>33</v>
      </c>
      <c r="B19" s="46">
        <f>B18/B20</f>
        <v>3.3336667000033335</v>
      </c>
      <c r="C19" s="46">
        <f>1040/280</f>
        <v>3.7142857142857144</v>
      </c>
      <c r="D19" s="46">
        <f>D18/D20</f>
        <v>3</v>
      </c>
      <c r="E19" s="46">
        <f>E18/E20</f>
        <v>2.3137254901960786</v>
      </c>
      <c r="F19" s="46">
        <f>F18/F20</f>
        <v>4.9107142857142847</v>
      </c>
      <c r="G19" s="46">
        <f>G18/G20</f>
        <v>3</v>
      </c>
      <c r="H19" s="46">
        <f>H18/H20</f>
        <v>2.5625</v>
      </c>
      <c r="I19" s="46">
        <v>2.63</v>
      </c>
      <c r="J19" s="46">
        <f>J18/J20</f>
        <v>3.6363636363636362</v>
      </c>
      <c r="K19" s="46">
        <f>K18/K20</f>
        <v>2.9761904761904763</v>
      </c>
      <c r="L19" s="46">
        <f>L18/L20</f>
        <v>2.2352941176470589</v>
      </c>
      <c r="M19" s="46"/>
      <c r="N19" s="47"/>
      <c r="O19" s="46">
        <f>O18/O20</f>
        <v>2.375</v>
      </c>
      <c r="P19" s="46" t="e">
        <f>P18/P20</f>
        <v>#DIV/0!</v>
      </c>
      <c r="Q19" s="46" t="e">
        <f>Q18/Q20</f>
        <v>#DIV/0!</v>
      </c>
      <c r="R19" s="46">
        <f>R18/R20</f>
        <v>2.5833333333333335</v>
      </c>
      <c r="S19" s="44"/>
      <c r="T19" s="44"/>
    </row>
    <row r="20" spans="1:20" s="24" customFormat="1" ht="30" customHeight="1" x14ac:dyDescent="0.2">
      <c r="A20" s="19" t="s">
        <v>5</v>
      </c>
      <c r="B20" s="48">
        <f>B21*0.33</f>
        <v>26.997300000000003</v>
      </c>
      <c r="C20" s="48">
        <v>280</v>
      </c>
      <c r="D20" s="48">
        <v>75</v>
      </c>
      <c r="E20" s="48">
        <v>25.5</v>
      </c>
      <c r="F20" s="48">
        <f>200*0.56</f>
        <v>112.00000000000001</v>
      </c>
      <c r="G20" s="48">
        <v>90</v>
      </c>
      <c r="H20" s="48">
        <v>32</v>
      </c>
      <c r="I20" s="48">
        <v>60</v>
      </c>
      <c r="J20" s="48">
        <v>44</v>
      </c>
      <c r="K20" s="48">
        <v>126</v>
      </c>
      <c r="L20" s="48">
        <v>85</v>
      </c>
      <c r="M20" s="48"/>
      <c r="N20" s="49"/>
      <c r="O20" s="48">
        <v>40</v>
      </c>
      <c r="P20" s="48">
        <v>0</v>
      </c>
      <c r="Q20" s="48">
        <v>0</v>
      </c>
      <c r="R20" s="48">
        <v>24</v>
      </c>
      <c r="S20" s="23"/>
      <c r="T20" s="23"/>
    </row>
    <row r="21" spans="1:20" s="24" customFormat="1" ht="30" customHeight="1" x14ac:dyDescent="0.2">
      <c r="A21" s="30" t="s">
        <v>6</v>
      </c>
      <c r="B21" s="50">
        <v>81.81</v>
      </c>
      <c r="C21" s="50">
        <v>198</v>
      </c>
      <c r="D21" s="50">
        <v>115</v>
      </c>
      <c r="E21" s="50">
        <v>54</v>
      </c>
      <c r="F21" s="50">
        <v>200</v>
      </c>
      <c r="G21" s="50">
        <v>173</v>
      </c>
      <c r="H21" s="50">
        <v>45</v>
      </c>
      <c r="I21" s="50">
        <v>120</v>
      </c>
      <c r="J21" s="50">
        <v>42</v>
      </c>
      <c r="K21" s="50">
        <v>140</v>
      </c>
      <c r="L21" s="50">
        <v>85</v>
      </c>
      <c r="M21" s="50"/>
      <c r="N21" s="51"/>
      <c r="O21" s="50">
        <v>47</v>
      </c>
      <c r="P21" s="50">
        <v>0</v>
      </c>
      <c r="Q21" s="50">
        <v>0</v>
      </c>
      <c r="R21" s="50">
        <v>30</v>
      </c>
      <c r="S21" s="23"/>
      <c r="T21" s="23"/>
    </row>
    <row r="22" spans="1:20" ht="12" customHeight="1" x14ac:dyDescent="0.2">
      <c r="A22" s="11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3"/>
      <c r="P22" s="13"/>
      <c r="Q22" s="13"/>
      <c r="R22" s="13"/>
      <c r="S22" s="1"/>
      <c r="T22" s="1"/>
    </row>
    <row r="23" spans="1:20" s="24" customFormat="1" ht="30" customHeight="1" x14ac:dyDescent="0.2">
      <c r="A23" s="19" t="s">
        <v>39</v>
      </c>
      <c r="B23" s="52">
        <f>B13*0.086</f>
        <v>68.808599999999998</v>
      </c>
      <c r="C23" s="52">
        <f>473*0.086</f>
        <v>40.677999999999997</v>
      </c>
      <c r="D23" s="52">
        <f t="shared" ref="D23:K23" si="0">0.086*D13</f>
        <v>85.303399999999996</v>
      </c>
      <c r="E23" s="52">
        <f t="shared" si="0"/>
        <v>32.143359999999994</v>
      </c>
      <c r="F23" s="52">
        <f t="shared" si="0"/>
        <v>302.64276339999998</v>
      </c>
      <c r="G23" s="52">
        <f t="shared" si="0"/>
        <v>73.229773999999992</v>
      </c>
      <c r="H23" s="52">
        <f t="shared" si="0"/>
        <v>35.449199999999998</v>
      </c>
      <c r="I23" s="52">
        <f t="shared" si="0"/>
        <v>70.347999999999999</v>
      </c>
      <c r="J23" s="52">
        <f t="shared" si="0"/>
        <v>78.431999999999988</v>
      </c>
      <c r="K23" s="52">
        <f t="shared" si="0"/>
        <v>131.06399999999999</v>
      </c>
      <c r="L23" s="52">
        <f>0.086*L13</f>
        <v>156.51999999999998</v>
      </c>
      <c r="M23" s="52">
        <v>25</v>
      </c>
      <c r="N23" s="53"/>
      <c r="O23" s="52">
        <f>O13/11.3</f>
        <v>20.088495575221238</v>
      </c>
      <c r="P23" s="52">
        <v>0</v>
      </c>
      <c r="Q23" s="52">
        <v>0</v>
      </c>
      <c r="R23" s="52">
        <f>R13/11.3</f>
        <v>40.884955752212385</v>
      </c>
      <c r="S23" s="23"/>
      <c r="T23" s="23"/>
    </row>
    <row r="24" spans="1:20" s="24" customFormat="1" ht="30" customHeight="1" x14ac:dyDescent="0.2">
      <c r="A24" s="19" t="s">
        <v>41</v>
      </c>
      <c r="B24" s="52">
        <f>B14*0.086</f>
        <v>49.105999999999995</v>
      </c>
      <c r="C24" s="52">
        <f>355*0.086</f>
        <v>30.529999999999998</v>
      </c>
      <c r="D24" s="52">
        <f t="shared" ref="D24:K24" si="1">D14*0.086</f>
        <v>60.214164705882347</v>
      </c>
      <c r="E24" s="52">
        <f t="shared" si="1"/>
        <v>21.757999999999999</v>
      </c>
      <c r="F24" s="52">
        <f t="shared" si="1"/>
        <v>216.97799999999998</v>
      </c>
      <c r="G24" s="52">
        <f t="shared" si="1"/>
        <v>54.922330499999987</v>
      </c>
      <c r="H24" s="52">
        <f t="shared" si="1"/>
        <v>26.586899999999996</v>
      </c>
      <c r="I24" s="52">
        <f>I14*0.086</f>
        <v>41.881999999999998</v>
      </c>
      <c r="J24" s="52">
        <f>J14*0.086</f>
        <v>56.071999999999996</v>
      </c>
      <c r="K24" s="52">
        <f t="shared" si="1"/>
        <v>98.383999999999986</v>
      </c>
      <c r="L24" s="52">
        <f>L14*0.086</f>
        <v>123.83999999999999</v>
      </c>
      <c r="M24" s="52">
        <v>17</v>
      </c>
      <c r="N24" s="53"/>
      <c r="O24" s="52">
        <f>O14/11.3</f>
        <v>15.066371681415928</v>
      </c>
      <c r="P24" s="52">
        <v>0</v>
      </c>
      <c r="Q24" s="52">
        <v>0</v>
      </c>
      <c r="R24" s="52">
        <f>R14/11.3</f>
        <v>26.194690265486724</v>
      </c>
      <c r="S24" s="23"/>
      <c r="T24" s="23"/>
    </row>
    <row r="25" spans="1:20" s="24" customFormat="1" ht="30" customHeight="1" x14ac:dyDescent="0.2">
      <c r="A25" s="19" t="s">
        <v>111</v>
      </c>
      <c r="B25" s="54">
        <f>B10*0.25</f>
        <v>222.25</v>
      </c>
      <c r="C25" s="54">
        <f>(816+1100)*0.25</f>
        <v>479</v>
      </c>
      <c r="D25" s="54">
        <v>317</v>
      </c>
      <c r="E25" s="54">
        <v>136</v>
      </c>
      <c r="F25" s="54">
        <f>F10*0.204</f>
        <v>929.21999999999991</v>
      </c>
      <c r="G25" s="54">
        <v>316</v>
      </c>
      <c r="H25" s="54">
        <v>124</v>
      </c>
      <c r="I25" s="54">
        <v>274</v>
      </c>
      <c r="J25" s="54">
        <v>260</v>
      </c>
      <c r="K25" s="54">
        <v>685</v>
      </c>
      <c r="L25" s="54">
        <v>962</v>
      </c>
      <c r="M25" s="54">
        <v>100</v>
      </c>
      <c r="N25" s="55"/>
      <c r="O25" s="54">
        <f>O13*0.25</f>
        <v>56.75</v>
      </c>
      <c r="P25" s="54">
        <v>0</v>
      </c>
      <c r="Q25" s="54">
        <v>0</v>
      </c>
      <c r="R25" s="54">
        <v>148</v>
      </c>
      <c r="S25" s="23"/>
      <c r="T25" s="23"/>
    </row>
    <row r="26" spans="1:20" s="24" customFormat="1" ht="30" customHeight="1" x14ac:dyDescent="0.2">
      <c r="A26" s="19" t="s">
        <v>112</v>
      </c>
      <c r="B26" s="54">
        <f>(B10-B13)*0.25+(B13-B14)*0.18</f>
        <v>63.462999999999994</v>
      </c>
      <c r="C26" s="54">
        <f>(816+1100-612-355)*0.25+(816+473-612-355)*0.18</f>
        <v>295.20999999999998</v>
      </c>
      <c r="D26" s="54">
        <f>317*(1-D12)+(D13-D14)*0.18</f>
        <v>127.64135294117646</v>
      </c>
      <c r="E26" s="54">
        <v>60</v>
      </c>
      <c r="F26" s="54">
        <f>(1-F12)*F10*0.204+(F13-F14)*0.18</f>
        <v>390.62155439999998</v>
      </c>
      <c r="G26" s="54">
        <v>139</v>
      </c>
      <c r="H26" s="54">
        <v>31</v>
      </c>
      <c r="I26" s="54">
        <v>156</v>
      </c>
      <c r="J26" s="54">
        <v>104</v>
      </c>
      <c r="K26" s="54">
        <v>367</v>
      </c>
      <c r="L26" s="54">
        <v>579</v>
      </c>
      <c r="M26" s="54">
        <v>42</v>
      </c>
      <c r="N26" s="55"/>
      <c r="O26" s="54">
        <f>(O13-O14)*0.18</f>
        <v>10.215</v>
      </c>
      <c r="P26" s="54">
        <v>0</v>
      </c>
      <c r="Q26" s="54">
        <v>0</v>
      </c>
      <c r="R26" s="54">
        <v>103</v>
      </c>
      <c r="S26" s="23"/>
    </row>
    <row r="27" spans="1:20" s="24" customFormat="1" ht="30" customHeight="1" x14ac:dyDescent="0.2">
      <c r="A27" s="30" t="s">
        <v>7</v>
      </c>
      <c r="B27" s="56">
        <f t="shared" ref="B27:K27" si="2">B25-B26</f>
        <v>158.78700000000001</v>
      </c>
      <c r="C27" s="56">
        <f t="shared" si="2"/>
        <v>183.79000000000002</v>
      </c>
      <c r="D27" s="56">
        <f t="shared" si="2"/>
        <v>189.35864705882352</v>
      </c>
      <c r="E27" s="56">
        <f t="shared" si="2"/>
        <v>76</v>
      </c>
      <c r="F27" s="56">
        <f t="shared" si="2"/>
        <v>538.59844559999988</v>
      </c>
      <c r="G27" s="56">
        <f t="shared" si="2"/>
        <v>177</v>
      </c>
      <c r="H27" s="56">
        <f t="shared" si="2"/>
        <v>93</v>
      </c>
      <c r="I27" s="56">
        <f t="shared" si="2"/>
        <v>118</v>
      </c>
      <c r="J27" s="56">
        <f t="shared" si="2"/>
        <v>156</v>
      </c>
      <c r="K27" s="56">
        <f t="shared" si="2"/>
        <v>318</v>
      </c>
      <c r="L27" s="56">
        <f>L25-L26</f>
        <v>383</v>
      </c>
      <c r="M27" s="56">
        <f>M25-M26</f>
        <v>58</v>
      </c>
      <c r="N27" s="57"/>
      <c r="O27" s="56">
        <f>O25-O26</f>
        <v>46.534999999999997</v>
      </c>
      <c r="P27" s="56">
        <f>P25-P26</f>
        <v>0</v>
      </c>
      <c r="Q27" s="56">
        <f>Q25-Q26</f>
        <v>0</v>
      </c>
      <c r="R27" s="56">
        <f>R25-R26</f>
        <v>45</v>
      </c>
      <c r="S27" s="23"/>
    </row>
    <row r="28" spans="1:20" ht="12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20" ht="12" customHeight="1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20" ht="12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20" ht="12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20" ht="12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 customHeight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 customHeight="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 customHeight="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customHeight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 customHeight="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2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2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2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2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ht="12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ht="12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2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ht="12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12" customHeight="1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" customHeight="1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12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" customHeight="1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2" customHeight="1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" customHeight="1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12" customHeight="1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" customHeight="1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ht="12" customHeight="1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" customHeight="1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ht="12" customHeight="1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" customHeight="1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12" customHeight="1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" customHeight="1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12" customHeigh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" customHeight="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 ht="12" customHeight="1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" customHeight="1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ht="12" customHeigh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" customHeigh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ht="12" customHeigh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ht="12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2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" customHeight="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2" customHeight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ht="12" customHeight="1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" customHeigh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" customHeigh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" customHeigh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2" customHeigh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</sheetData>
  <mergeCells count="1">
    <mergeCell ref="A1:B1"/>
  </mergeCells>
  <phoneticPr fontId="2" type="noConversion"/>
  <pageMargins left="0.78740157499999996" right="0.78740157499999996" top="0.984251969" bottom="0.984251969" header="0.4921259845" footer="0.4921259845"/>
  <pageSetup paperSize="9" scale="3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Références</vt:lpstr>
      <vt:lpstr>Références!Zone_d_impression</vt:lpstr>
    </vt:vector>
  </TitlesOfParts>
  <Company>LDEF\SUEZ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rzerbini</dc:creator>
  <cp:lastModifiedBy>Valentin, Delphine</cp:lastModifiedBy>
  <cp:lastPrinted>2014-12-05T16:23:24Z</cp:lastPrinted>
  <dcterms:created xsi:type="dcterms:W3CDTF">2010-03-10T09:46:00Z</dcterms:created>
  <dcterms:modified xsi:type="dcterms:W3CDTF">2015-08-26T14:16:15Z</dcterms:modified>
</cp:coreProperties>
</file>